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3735" yWindow="2400" windowWidth="23985" windowHeight="16440" tabRatio="500"/>
  </bookViews>
  <sheets>
    <sheet name="一泊" sheetId="2" r:id="rId1"/>
    <sheet name="連泊" sheetId="1" r:id="rId2"/>
  </sheets>
  <definedNames>
    <definedName name="_xlnm.Print_Area" localSheetId="0">一泊!$A$1:$N$26</definedName>
    <definedName name="_xlnm.Print_Area" localSheetId="1">連泊!$A$1:$N$26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6" i="1" l="1"/>
  <c r="F14" i="2"/>
  <c r="F15" i="2"/>
  <c r="F22" i="2"/>
  <c r="G14" i="2"/>
  <c r="G23" i="2"/>
  <c r="F10" i="2"/>
  <c r="F11" i="2"/>
  <c r="G9" i="2"/>
  <c r="F12" i="2"/>
  <c r="G12" i="2"/>
  <c r="G24" i="2"/>
  <c r="F9" i="1"/>
  <c r="F10" i="1"/>
  <c r="F11" i="1"/>
  <c r="G9" i="1"/>
  <c r="F12" i="1"/>
  <c r="G12" i="1"/>
  <c r="F14" i="1"/>
  <c r="F15" i="1"/>
  <c r="G14" i="1"/>
  <c r="G23" i="1"/>
  <c r="G24" i="1"/>
  <c r="F5" i="1"/>
  <c r="F6" i="1"/>
  <c r="G5" i="1"/>
  <c r="G25" i="1"/>
  <c r="M10" i="1"/>
  <c r="M10" i="2"/>
  <c r="M12" i="2"/>
  <c r="N23" i="2"/>
  <c r="M9" i="2"/>
  <c r="M5" i="2"/>
  <c r="M6" i="2"/>
  <c r="F5" i="2"/>
  <c r="M7" i="2"/>
  <c r="M8" i="2"/>
  <c r="N5" i="2"/>
  <c r="N9" i="2"/>
  <c r="N12" i="2"/>
  <c r="N24" i="2"/>
  <c r="N25" i="2"/>
  <c r="F6" i="2"/>
  <c r="G5" i="2"/>
  <c r="G25" i="2"/>
  <c r="M9" i="1"/>
  <c r="N9" i="1"/>
  <c r="M12" i="1"/>
  <c r="N12" i="1"/>
  <c r="N23" i="1"/>
  <c r="N24" i="1"/>
  <c r="M7" i="1"/>
  <c r="M8" i="1"/>
  <c r="N5" i="1"/>
  <c r="N25" i="1"/>
</calcChain>
</file>

<file path=xl/sharedStrings.xml><?xml version="1.0" encoding="utf-8"?>
<sst xmlns="http://schemas.openxmlformats.org/spreadsheetml/2006/main" count="122" uniqueCount="71">
  <si>
    <t>宿泊部門</t>
    <rPh sb="0" eb="4">
      <t>シュクハクブモン</t>
    </rPh>
    <phoneticPr fontId="2"/>
  </si>
  <si>
    <t>日帰り入浴</t>
    <rPh sb="0" eb="2">
      <t>ヒガエ</t>
    </rPh>
    <rPh sb="3" eb="5">
      <t>ニュウヨク</t>
    </rPh>
    <phoneticPr fontId="2"/>
  </si>
  <si>
    <t>１０,２００人×（８,４００＋５００）円</t>
    <rPh sb="6" eb="7">
      <t>ニン</t>
    </rPh>
    <rPh sb="19" eb="20">
      <t>エン</t>
    </rPh>
    <phoneticPr fontId="2"/>
  </si>
  <si>
    <t>２０人×１２０日×７００円</t>
    <rPh sb="2" eb="3">
      <t>ニン</t>
    </rPh>
    <rPh sb="7" eb="8">
      <t>ニチ</t>
    </rPh>
    <rPh sb="12" eb="13">
      <t>エン</t>
    </rPh>
    <phoneticPr fontId="2"/>
  </si>
  <si>
    <t>計</t>
    <rPh sb="0" eb="1">
      <t>ケイ</t>
    </rPh>
    <phoneticPr fontId="2"/>
  </si>
  <si>
    <t>食事部門</t>
    <rPh sb="0" eb="4">
      <t>ショクジブモン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</si>
  <si>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</si>
  <si>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</si>
  <si>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飲料</t>
    <rPh sb="0" eb="2">
      <t>インリョウ</t>
    </rPh>
    <phoneticPr fontId="2"/>
  </si>
  <si>
    <t>８,５００人×４,５００円</t>
    <rPh sb="5" eb="6">
      <t>ニン</t>
    </rPh>
    <rPh sb="12" eb="13">
      <t>エン</t>
    </rPh>
    <phoneticPr fontId="2"/>
  </si>
  <si>
    <t>８,５００人×１,１００円</t>
    <rPh sb="5" eb="6">
      <t>ニン</t>
    </rPh>
    <rPh sb="12" eb="13">
      <t>エン</t>
    </rPh>
    <phoneticPr fontId="2"/>
  </si>
  <si>
    <t>素泊り宿泊</t>
    <rPh sb="0" eb="2">
      <t>スド</t>
    </rPh>
    <rPh sb="3" eb="5">
      <t>シュクハク</t>
    </rPh>
    <phoneticPr fontId="2"/>
  </si>
  <si>
    <t>食材</t>
    <rPh sb="0" eb="2">
      <t>ショクザイ</t>
    </rPh>
    <phoneticPr fontId="2"/>
  </si>
  <si>
    <t>消耗品</t>
    <rPh sb="0" eb="3">
      <t>ショウモウヒン</t>
    </rPh>
    <phoneticPr fontId="2"/>
  </si>
  <si>
    <t>清掃費</t>
    <rPh sb="0" eb="3">
      <t>セイソウヒ</t>
    </rPh>
    <phoneticPr fontId="2"/>
  </si>
  <si>
    <t>人件費</t>
    <rPh sb="0" eb="3">
      <t>ジンケンヒ</t>
    </rPh>
    <phoneticPr fontId="2"/>
  </si>
  <si>
    <t>夜警</t>
    <rPh sb="0" eb="2">
      <t>ヤケイ</t>
    </rPh>
    <phoneticPr fontId="2"/>
  </si>
  <si>
    <t>一般諸経費</t>
    <rPh sb="0" eb="2">
      <t>イッパン</t>
    </rPh>
    <rPh sb="2" eb="5">
      <t>ショケイヒ</t>
    </rPh>
    <phoneticPr fontId="2"/>
  </si>
  <si>
    <t>光熱費</t>
    <rPh sb="0" eb="3">
      <t>コウネツヒ</t>
    </rPh>
    <phoneticPr fontId="2"/>
  </si>
  <si>
    <t>車輌関係</t>
    <rPh sb="0" eb="4">
      <t>シャリョウカンケイ</t>
    </rPh>
    <phoneticPr fontId="2"/>
  </si>
  <si>
    <t>修繕費</t>
    <rPh sb="0" eb="3">
      <t>シュウゼンヒ</t>
    </rPh>
    <phoneticPr fontId="2"/>
  </si>
  <si>
    <t>事務・会計</t>
    <rPh sb="0" eb="2">
      <t>ジム</t>
    </rPh>
    <rPh sb="3" eb="5">
      <t>カイケイ</t>
    </rPh>
    <phoneticPr fontId="2"/>
  </si>
  <si>
    <t>電話・送料</t>
    <rPh sb="0" eb="2">
      <t>デンワ</t>
    </rPh>
    <rPh sb="3" eb="5">
      <t>ソウリョウ</t>
    </rPh>
    <phoneticPr fontId="2"/>
  </si>
  <si>
    <t>固資税・保険</t>
    <rPh sb="0" eb="3">
      <t>コテイシセンゼイ</t>
    </rPh>
    <rPh sb="4" eb="6">
      <t>ホケン</t>
    </rPh>
    <phoneticPr fontId="2"/>
  </si>
  <si>
    <t>被服・雑費</t>
    <rPh sb="0" eb="2">
      <t>ヒフク</t>
    </rPh>
    <rPh sb="3" eb="5">
      <t>ザッピ</t>
    </rPh>
    <phoneticPr fontId="2"/>
  </si>
  <si>
    <t>公告・DM</t>
    <rPh sb="0" eb="2">
      <t>コウコク</t>
    </rPh>
    <phoneticPr fontId="2"/>
  </si>
  <si>
    <t>手数料</t>
    <rPh sb="0" eb="3">
      <t>テスウリョウ</t>
    </rPh>
    <phoneticPr fontId="2"/>
  </si>
  <si>
    <t>１０,２００人×７５０円</t>
    <rPh sb="6" eb="7">
      <t>ニン</t>
    </rPh>
    <rPh sb="11" eb="12">
      <t>エン</t>
    </rPh>
    <phoneticPr fontId="2"/>
  </si>
  <si>
    <t>１２,０００人×１,１００円</t>
    <rPh sb="6" eb="7">
      <t>ニン</t>
    </rPh>
    <rPh sb="13" eb="14">
      <t>エン</t>
    </rPh>
    <phoneticPr fontId="2"/>
  </si>
  <si>
    <t>２台×３０万円</t>
    <rPh sb="1" eb="2">
      <t>ダイ</t>
    </rPh>
    <rPh sb="5" eb="7">
      <t>マンエン</t>
    </rPh>
    <phoneticPr fontId="2"/>
  </si>
  <si>
    <t>年２回＋HP</t>
    <rPh sb="0" eb="1">
      <t>ネン</t>
    </rPh>
    <rPh sb="2" eb="3">
      <t>カイ</t>
    </rPh>
    <phoneticPr fontId="2"/>
  </si>
  <si>
    <t>９０,７８０×０.３×１５％</t>
    <phoneticPr fontId="2"/>
  </si>
  <si>
    <t>５,１００千円×５０％</t>
    <rPh sb="5" eb="7">
      <t>センエン</t>
    </rPh>
    <phoneticPr fontId="2"/>
  </si>
  <si>
    <t>支出合計</t>
    <rPh sb="0" eb="4">
      <t>シシュツゴウケイ</t>
    </rPh>
    <phoneticPr fontId="2"/>
  </si>
  <si>
    <t>金利・償却前利益 ＝ ９２,４６０ − ６９,８６０</t>
    <rPh sb="0" eb="2">
      <t>キンリ</t>
    </rPh>
    <rPh sb="3" eb="6">
      <t>ショウキャクマエ</t>
    </rPh>
    <rPh sb="6" eb="8">
      <t>リエキ</t>
    </rPh>
    <phoneticPr fontId="2"/>
  </si>
  <si>
    <t>パート</t>
    <phoneticPr fontId="2"/>
  </si>
  <si>
    <t>９,３５０×３０％</t>
  </si>
  <si>
    <t>４人×４３０万円</t>
    <rPh sb="1" eb="2">
      <t>ニン</t>
    </rPh>
    <rPh sb="6" eb="8">
      <t>マンエン</t>
    </rPh>
    <phoneticPr fontId="2"/>
  </si>
  <si>
    <t>４３,５００千円×４０％</t>
    <rPh sb="6" eb="8">
      <t>センエン</t>
    </rPh>
    <phoneticPr fontId="2"/>
  </si>
  <si>
    <t>金利・償却前利益 ＝ ５２,８５０ − ４９,２２０</t>
    <rPh sb="0" eb="2">
      <t>キンリ</t>
    </rPh>
    <rPh sb="3" eb="6">
      <t>ショウキャクマエ</t>
    </rPh>
    <rPh sb="6" eb="8">
      <t>リエキ</t>
    </rPh>
    <phoneticPr fontId="2"/>
  </si>
  <si>
    <t>人 件 費</t>
    <rPh sb="0" eb="5">
      <t>ジンケンヒ</t>
    </rPh>
    <phoneticPr fontId="2"/>
  </si>
  <si>
    <t>原　　価</t>
    <rPh sb="0" eb="4">
      <t>ゲンカ</t>
    </rPh>
    <phoneticPr fontId="2"/>
  </si>
  <si>
    <t>売　　上</t>
    <rPh sb="0" eb="4">
      <t>ウリア</t>
    </rPh>
    <phoneticPr fontId="2"/>
  </si>
  <si>
    <t>収　　支</t>
    <rPh sb="0" eb="4">
      <t>シュウシ</t>
    </rPh>
    <phoneticPr fontId="2"/>
  </si>
  <si>
    <t>単位：千円</t>
    <rPh sb="0" eb="2">
      <t>タンイ</t>
    </rPh>
    <rPh sb="3" eb="5">
      <t>センエン</t>
    </rPh>
    <phoneticPr fontId="2"/>
  </si>
  <si>
    <t>一般諸経費 ＝ ３２,０８０千円の７０％を宿泊経費</t>
    <rPh sb="0" eb="5">
      <t>イッパンショケイヒ</t>
    </rPh>
    <rPh sb="14" eb="16">
      <t>センエン</t>
    </rPh>
    <rPh sb="21" eb="25">
      <t>シュクハクケイヒ</t>
    </rPh>
    <phoneticPr fontId="2"/>
  </si>
  <si>
    <t>一般諸経費 ＝ ３２,０８０千円の３０％を食事経費</t>
    <rPh sb="0" eb="5">
      <t>イッパンショケイヒ</t>
    </rPh>
    <rPh sb="14" eb="16">
      <t>センエン</t>
    </rPh>
    <rPh sb="21" eb="23">
      <t>ショクジ</t>
    </rPh>
    <rPh sb="23" eb="25">
      <t>シュクハクケイヒ</t>
    </rPh>
    <phoneticPr fontId="2"/>
  </si>
  <si>
    <t>食事別宿泊</t>
    <rPh sb="0" eb="3">
      <t>ショクジベツ</t>
    </rPh>
    <rPh sb="3" eb="5">
      <t>シュクハク</t>
    </rPh>
    <phoneticPr fontId="2"/>
  </si>
  <si>
    <t>８,５００人×８,４００円</t>
    <rPh sb="5" eb="6">
      <t>ニン</t>
    </rPh>
    <rPh sb="12" eb="13">
      <t>エン</t>
    </rPh>
    <phoneticPr fontId="2"/>
  </si>
  <si>
    <t>８,５００人×７５０円</t>
    <rPh sb="5" eb="6">
      <t>ニン</t>
    </rPh>
    <rPh sb="10" eb="11">
      <t>エン</t>
    </rPh>
    <phoneticPr fontId="2"/>
  </si>
  <si>
    <t>朝食</t>
    <rPh sb="0" eb="1">
      <t>アサ</t>
    </rPh>
    <rPh sb="1" eb="2">
      <t>チュウショク</t>
    </rPh>
    <phoneticPr fontId="2"/>
  </si>
  <si>
    <t>３,０００人×１,５００円</t>
    <rPh sb="5" eb="6">
      <t>ニン</t>
    </rPh>
    <rPh sb="12" eb="13">
      <t>エン</t>
    </rPh>
    <phoneticPr fontId="2"/>
  </si>
  <si>
    <t>５２,１００千円×４０％</t>
    <rPh sb="6" eb="8">
      <t>センエン</t>
    </rPh>
    <phoneticPr fontId="2"/>
  </si>
  <si>
    <t>９,３００人×１,１００円</t>
    <rPh sb="5" eb="6">
      <t>ニン</t>
    </rPh>
    <rPh sb="12" eb="13">
      <t>エン</t>
    </rPh>
    <phoneticPr fontId="2"/>
  </si>
  <si>
    <t>７１,４００×０.３×１５％</t>
    <phoneticPr fontId="2"/>
  </si>
  <si>
    <t>一般諸経費 ＝ ２８,２５０千円の６０％を宿泊経費</t>
    <rPh sb="0" eb="5">
      <t>イッパンショケイヒ</t>
    </rPh>
    <rPh sb="14" eb="16">
      <t>センエン</t>
    </rPh>
    <rPh sb="21" eb="25">
      <t>シュクハクケイヒ</t>
    </rPh>
    <phoneticPr fontId="2"/>
  </si>
  <si>
    <t>一般諸経費 ＝ ２８,２５０千円の４０％を食事経費</t>
    <rPh sb="0" eb="5">
      <t>イッパンショケイヒ</t>
    </rPh>
    <rPh sb="14" eb="16">
      <t>センエン</t>
    </rPh>
    <rPh sb="21" eb="23">
      <t>ショクジ</t>
    </rPh>
    <rPh sb="23" eb="25">
      <t>シュクハクケイヒ</t>
    </rPh>
    <phoneticPr fontId="2"/>
  </si>
  <si>
    <t>金利・償却前利益 ＝ ７３,０８０ − ５６,２２０</t>
    <rPh sb="0" eb="2">
      <t>キンリ</t>
    </rPh>
    <rPh sb="3" eb="6">
      <t>ショウキャクマエ</t>
    </rPh>
    <rPh sb="6" eb="8">
      <t>リエキ</t>
    </rPh>
    <phoneticPr fontId="2"/>
  </si>
  <si>
    <t>５人×４３０万円</t>
    <phoneticPr fontId="2"/>
  </si>
  <si>
    <t>金利・償却前利益 ＝ ６４,４５０ − ６２,９４０</t>
    <rPh sb="0" eb="2">
      <t>キンリ</t>
    </rPh>
    <rPh sb="3" eb="6">
      <t>ショウキャクマエ</t>
    </rPh>
    <rPh sb="6" eb="8">
      <t>リエキ</t>
    </rPh>
    <phoneticPr fontId="2"/>
  </si>
  <si>
    <t>飲料</t>
  </si>
  <si>
    <t>項目</t>
    <rPh sb="0" eb="2">
      <t>コウモク</t>
    </rPh>
    <phoneticPr fontId="2"/>
  </si>
  <si>
    <t>計算式</t>
    <rPh sb="0" eb="3">
      <t>ケイサンシキ</t>
    </rPh>
    <phoneticPr fontId="2"/>
  </si>
  <si>
    <t>３人×２２０万円</t>
    <rPh sb="1" eb="2">
      <t>ニン</t>
    </rPh>
    <rPh sb="6" eb="8">
      <t>マンエン</t>
    </rPh>
    <phoneticPr fontId="2"/>
  </si>
  <si>
    <t>（早番２＋４）人×４３０万円</t>
    <rPh sb="1" eb="3">
      <t>ハヤバン</t>
    </rPh>
    <rPh sb="7" eb="8">
      <t>ニン</t>
    </rPh>
    <rPh sb="12" eb="14">
      <t>マンエン</t>
    </rPh>
    <phoneticPr fontId="2"/>
  </si>
  <si>
    <t>（早番２＋４）人×４３０万円</t>
    <phoneticPr fontId="2"/>
  </si>
  <si>
    <t>表５ - ２</t>
    <rPh sb="0" eb="1">
      <t>ヒョウ</t>
    </rPh>
    <phoneticPr fontId="2"/>
  </si>
  <si>
    <t>表５ - 1</t>
    <rPh sb="0" eb="1">
      <t>ヒョウ</t>
    </rPh>
    <phoneticPr fontId="2"/>
  </si>
  <si>
    <t>連泊と朝食付宿泊と食事の採算性比較：定員３人×２０室　連泊プラン稼働率４６％　客室面積４０〜４５㎡　露天風呂あり ［連泊］</t>
    <rPh sb="0" eb="2">
      <t>レンパク</t>
    </rPh>
    <rPh sb="3" eb="5">
      <t>チョウショク</t>
    </rPh>
    <rPh sb="5" eb="6">
      <t>ツキ</t>
    </rPh>
    <rPh sb="6" eb="8">
      <t>シュクハク</t>
    </rPh>
    <rPh sb="9" eb="11">
      <t>ショクジ</t>
    </rPh>
    <rPh sb="12" eb="17">
      <t>サイサンセイヒカク</t>
    </rPh>
    <rPh sb="18" eb="20">
      <t>テイイン</t>
    </rPh>
    <rPh sb="21" eb="22">
      <t>ニン</t>
    </rPh>
    <rPh sb="25" eb="26">
      <t>シツ</t>
    </rPh>
    <rPh sb="27" eb="29">
      <t>レンパク</t>
    </rPh>
    <rPh sb="32" eb="35">
      <t>カドウリツ</t>
    </rPh>
    <rPh sb="39" eb="43">
      <t>キャクシツメンセキ</t>
    </rPh>
    <rPh sb="48" eb="49">
      <t>ヘイホウ</t>
    </rPh>
    <rPh sb="50" eb="54">
      <t>ロテンブロ</t>
    </rPh>
    <phoneticPr fontId="2"/>
  </si>
  <si>
    <t>連泊と朝食付宿泊と食事の採算性比較：定員３人×２０室　一泊プラン稼働率３８％　客室面積４０〜４５㎡　露天風呂あり ［一泊］</t>
    <rPh sb="0" eb="2">
      <t>レンパク</t>
    </rPh>
    <rPh sb="3" eb="5">
      <t>チョウショク</t>
    </rPh>
    <rPh sb="5" eb="6">
      <t>ツキ</t>
    </rPh>
    <rPh sb="6" eb="8">
      <t>シュクハク</t>
    </rPh>
    <rPh sb="9" eb="11">
      <t>ショクジ</t>
    </rPh>
    <rPh sb="12" eb="17">
      <t>サイサンセイヒカク</t>
    </rPh>
    <rPh sb="18" eb="20">
      <t>テイイン</t>
    </rPh>
    <rPh sb="21" eb="22">
      <t>ニン</t>
    </rPh>
    <rPh sb="25" eb="26">
      <t>シツ</t>
    </rPh>
    <rPh sb="27" eb="28">
      <t>イチ</t>
    </rPh>
    <rPh sb="28" eb="29">
      <t>レンパク</t>
    </rPh>
    <rPh sb="32" eb="35">
      <t>カドウリツ</t>
    </rPh>
    <rPh sb="39" eb="43">
      <t>キャクシツメンセキ</t>
    </rPh>
    <rPh sb="48" eb="49">
      <t>ヘイホウ</t>
    </rPh>
    <rPh sb="50" eb="54">
      <t>ロテンブロ</t>
    </rPh>
    <rPh sb="58" eb="59">
      <t>イチ</t>
    </rPh>
    <phoneticPr fontId="2"/>
  </si>
  <si>
    <t>３,５００人×１,５００円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</si>
</sst>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&quot;　&quot;;[Red]\-#,##0&quot;　&quot;"/>
    <numFmt numFmtId="177" formatCode="#,##0&quot;  &quot;;[Red]\▲\ #,##0&quot;  &quot;"/>
  </numFmts>
  <fonts count="10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theme="1"/>
      <name val="ヒラギノ明朝 Pro W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ヒラギノ明朝 ProN W3"/>
      <charset val="128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68">
    <xf numFmtId="0" fontId="0" fillId="0" borderId="0"/>
    <xf numFmtId="38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1" applyNumberFormat="1" applyFont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9" fillId="2" borderId="7" xfId="0" applyFont="1" applyFill="1" applyBorder="1" applyAlignment="1">
      <alignment horizontal="left" vertical="center" indent="2"/>
    </xf>
    <xf numFmtId="0" fontId="0" fillId="2" borderId="8" xfId="0" applyFill="1" applyBorder="1" applyAlignment="1">
      <alignment vertical="center"/>
    </xf>
    <xf numFmtId="38" fontId="0" fillId="2" borderId="8" xfId="1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2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distributed" vertical="center"/>
    </xf>
    <xf numFmtId="0" fontId="0" fillId="2" borderId="2" xfId="0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indent="1"/>
    </xf>
    <xf numFmtId="177" fontId="5" fillId="2" borderId="23" xfId="1" applyNumberFormat="1" applyFont="1" applyFill="1" applyBorder="1" applyAlignment="1">
      <alignment vertical="center"/>
    </xf>
    <xf numFmtId="177" fontId="5" fillId="2" borderId="1" xfId="0" applyNumberFormat="1" applyFont="1" applyFill="1" applyBorder="1" applyAlignment="1">
      <alignment vertical="center"/>
    </xf>
    <xf numFmtId="176" fontId="0" fillId="2" borderId="3" xfId="0" applyNumberFormat="1" applyFill="1" applyBorder="1" applyAlignment="1">
      <alignment vertical="center"/>
    </xf>
    <xf numFmtId="176" fontId="0" fillId="2" borderId="0" xfId="0" applyNumberFormat="1" applyFill="1" applyBorder="1" applyAlignment="1">
      <alignment vertical="center"/>
    </xf>
    <xf numFmtId="177" fontId="5" fillId="2" borderId="22" xfId="0" applyNumberFormat="1" applyFont="1" applyFill="1" applyBorder="1" applyAlignment="1">
      <alignment vertical="center"/>
    </xf>
    <xf numFmtId="177" fontId="5" fillId="2" borderId="24" xfId="1" applyNumberFormat="1" applyFont="1" applyFill="1" applyBorder="1" applyAlignment="1">
      <alignment vertical="center"/>
    </xf>
    <xf numFmtId="177" fontId="5" fillId="2" borderId="24" xfId="0" applyNumberFormat="1" applyFont="1" applyFill="1" applyBorder="1" applyAlignment="1">
      <alignment vertical="center"/>
    </xf>
    <xf numFmtId="0" fontId="0" fillId="2" borderId="4" xfId="0" applyFill="1" applyBorder="1" applyAlignment="1">
      <alignment horizontal="distributed" vertical="center"/>
    </xf>
    <xf numFmtId="0" fontId="0" fillId="2" borderId="6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indent="1"/>
    </xf>
    <xf numFmtId="177" fontId="5" fillId="2" borderId="25" xfId="0" applyNumberFormat="1" applyFont="1" applyFill="1" applyBorder="1" applyAlignment="1">
      <alignment vertical="center"/>
    </xf>
    <xf numFmtId="177" fontId="5" fillId="2" borderId="5" xfId="0" applyNumberFormat="1" applyFont="1" applyFill="1" applyBorder="1" applyAlignment="1">
      <alignment vertical="center"/>
    </xf>
    <xf numFmtId="176" fontId="0" fillId="2" borderId="4" xfId="0" applyNumberFormat="1" applyFill="1" applyBorder="1" applyAlignment="1">
      <alignment vertical="center"/>
    </xf>
    <xf numFmtId="177" fontId="5" fillId="2" borderId="25" xfId="1" applyNumberFormat="1" applyFont="1" applyFill="1" applyBorder="1" applyAlignment="1">
      <alignment vertical="center"/>
    </xf>
    <xf numFmtId="177" fontId="5" fillId="2" borderId="21" xfId="0" applyNumberFormat="1" applyFont="1" applyFill="1" applyBorder="1" applyAlignment="1">
      <alignment vertical="center"/>
    </xf>
    <xf numFmtId="0" fontId="0" fillId="2" borderId="2" xfId="0" applyFill="1" applyBorder="1" applyAlignment="1">
      <alignment horizontal="distributed" vertical="center"/>
    </xf>
    <xf numFmtId="0" fontId="0" fillId="2" borderId="6" xfId="0" applyFill="1" applyBorder="1" applyAlignment="1">
      <alignment horizontal="distributed" vertical="center"/>
    </xf>
    <xf numFmtId="176" fontId="0" fillId="2" borderId="26" xfId="0" applyNumberForma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 indent="1"/>
    </xf>
    <xf numFmtId="177" fontId="5" fillId="2" borderId="29" xfId="0" applyNumberFormat="1" applyFont="1" applyFill="1" applyBorder="1" applyAlignment="1">
      <alignment vertical="center"/>
    </xf>
    <xf numFmtId="177" fontId="5" fillId="2" borderId="28" xfId="0" applyNumberFormat="1" applyFont="1" applyFill="1" applyBorder="1" applyAlignment="1">
      <alignment vertical="center"/>
    </xf>
    <xf numFmtId="177" fontId="5" fillId="2" borderId="4" xfId="1" applyNumberFormat="1" applyFont="1" applyFill="1" applyBorder="1" applyAlignment="1">
      <alignment vertical="center"/>
    </xf>
    <xf numFmtId="177" fontId="5" fillId="2" borderId="11" xfId="0" applyNumberFormat="1" applyFont="1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left" vertical="center" indent="1"/>
    </xf>
    <xf numFmtId="177" fontId="5" fillId="2" borderId="18" xfId="0" applyNumberFormat="1" applyFon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176" fontId="0" fillId="2" borderId="18" xfId="0" applyNumberFormat="1" applyFill="1" applyBorder="1" applyAlignment="1">
      <alignment vertical="center"/>
    </xf>
    <xf numFmtId="177" fontId="5" fillId="2" borderId="18" xfId="1" applyNumberFormat="1" applyFont="1" applyFill="1" applyBorder="1" applyAlignment="1">
      <alignment vertical="center"/>
    </xf>
    <xf numFmtId="177" fontId="5" fillId="2" borderId="20" xfId="0" applyNumberFormat="1" applyFont="1" applyFill="1" applyBorder="1" applyAlignment="1">
      <alignment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77" fontId="5" fillId="2" borderId="24" xfId="0" applyNumberFormat="1" applyFont="1" applyFill="1" applyBorder="1" applyAlignment="1">
      <alignment vertical="center"/>
    </xf>
  </cellXfs>
  <cellStyles count="68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桁区切り" xfId="1" builtinId="6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A4" workbookViewId="0">
      <selection activeCell="O25" sqref="O25"/>
    </sheetView>
  </sheetViews>
  <sheetFormatPr defaultColWidth="12.875" defaultRowHeight="14.25"/>
  <cols>
    <col min="1" max="1" width="12.875" style="1"/>
    <col min="2" max="2" width="1" style="1" customWidth="1"/>
    <col min="3" max="3" width="11.875" style="1" customWidth="1"/>
    <col min="4" max="4" width="1" style="1" customWidth="1"/>
    <col min="5" max="5" width="29.875" style="1" customWidth="1"/>
    <col min="6" max="7" width="10.875" style="1" customWidth="1"/>
    <col min="8" max="8" width="0.375" style="1" customWidth="1"/>
    <col min="9" max="9" width="1" style="1" customWidth="1"/>
    <col min="10" max="10" width="11.875" style="1" customWidth="1"/>
    <col min="11" max="11" width="1" style="1" customWidth="1"/>
    <col min="12" max="12" width="25.875" style="1" customWidth="1"/>
    <col min="13" max="13" width="10.875" style="3" customWidth="1"/>
    <col min="14" max="14" width="10.875" style="1" customWidth="1"/>
    <col min="15" max="16384" width="12.875" style="1"/>
  </cols>
  <sheetData>
    <row r="1" spans="1:14" ht="15" thickBot="1">
      <c r="N1" s="8" t="s">
        <v>44</v>
      </c>
    </row>
    <row r="2" spans="1:14" ht="39.950000000000003" customHeight="1">
      <c r="A2" s="11" t="s">
        <v>69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  <c r="N2" s="14"/>
    </row>
    <row r="3" spans="1:14" ht="24" customHeight="1">
      <c r="A3" s="15"/>
      <c r="B3" s="16"/>
      <c r="C3" s="69" t="s">
        <v>0</v>
      </c>
      <c r="D3" s="69"/>
      <c r="E3" s="69"/>
      <c r="F3" s="69"/>
      <c r="G3" s="69"/>
      <c r="H3" s="17"/>
      <c r="I3" s="18"/>
      <c r="J3" s="69" t="s">
        <v>5</v>
      </c>
      <c r="K3" s="69"/>
      <c r="L3" s="69"/>
      <c r="M3" s="69"/>
      <c r="N3" s="70"/>
    </row>
    <row r="4" spans="1:14" ht="24" customHeight="1">
      <c r="A4" s="19"/>
      <c r="B4" s="16"/>
      <c r="C4" s="18" t="s">
        <v>61</v>
      </c>
      <c r="D4" s="20"/>
      <c r="E4" s="66" t="s">
        <v>62</v>
      </c>
      <c r="F4" s="67"/>
      <c r="G4" s="21" t="s">
        <v>4</v>
      </c>
      <c r="H4" s="22"/>
      <c r="I4" s="23"/>
      <c r="J4" s="18" t="s">
        <v>61</v>
      </c>
      <c r="K4" s="20"/>
      <c r="L4" s="66" t="s">
        <v>62</v>
      </c>
      <c r="M4" s="67"/>
      <c r="N4" s="24" t="s">
        <v>4</v>
      </c>
    </row>
    <row r="5" spans="1:14" ht="24" customHeight="1">
      <c r="A5" s="71" t="s">
        <v>42</v>
      </c>
      <c r="B5" s="25"/>
      <c r="C5" s="26" t="s">
        <v>47</v>
      </c>
      <c r="D5" s="27"/>
      <c r="E5" s="28" t="s">
        <v>48</v>
      </c>
      <c r="F5" s="29">
        <f>8500*8400/10^3</f>
        <v>71400</v>
      </c>
      <c r="G5" s="30">
        <f>SUM(F5:F8)</f>
        <v>73080</v>
      </c>
      <c r="H5" s="31"/>
      <c r="I5" s="32"/>
      <c r="J5" s="26" t="s">
        <v>50</v>
      </c>
      <c r="K5" s="27"/>
      <c r="L5" s="28" t="s">
        <v>10</v>
      </c>
      <c r="M5" s="29">
        <f>8500*1100/10^3</f>
        <v>9350</v>
      </c>
      <c r="N5" s="33">
        <f>SUM(M5:M8)</f>
        <v>61450</v>
      </c>
    </row>
    <row r="6" spans="1:14" ht="24" customHeight="1">
      <c r="A6" s="72"/>
      <c r="B6" s="25"/>
      <c r="C6" s="26" t="s">
        <v>1</v>
      </c>
      <c r="D6" s="27"/>
      <c r="E6" s="28" t="s">
        <v>3</v>
      </c>
      <c r="F6" s="34">
        <f>20*120*700/10^3</f>
        <v>1680</v>
      </c>
      <c r="G6" s="30"/>
      <c r="H6" s="31"/>
      <c r="I6" s="32"/>
      <c r="J6" s="26" t="s">
        <v>6</v>
      </c>
      <c r="K6" s="27"/>
      <c r="L6" s="28" t="s">
        <v>51</v>
      </c>
      <c r="M6" s="34">
        <f>3000*1500/10^3</f>
        <v>4500</v>
      </c>
      <c r="N6" s="33"/>
    </row>
    <row r="7" spans="1:14" ht="24" customHeight="1">
      <c r="A7" s="72"/>
      <c r="B7" s="25"/>
      <c r="C7" s="26"/>
      <c r="D7" s="27"/>
      <c r="E7" s="28"/>
      <c r="F7" s="35"/>
      <c r="G7" s="30"/>
      <c r="H7" s="31"/>
      <c r="I7" s="32"/>
      <c r="J7" s="26" t="s">
        <v>7</v>
      </c>
      <c r="K7" s="27"/>
      <c r="L7" s="28" t="s">
        <v>9</v>
      </c>
      <c r="M7" s="34">
        <f>8500*4500/10^3</f>
        <v>38250</v>
      </c>
      <c r="N7" s="33"/>
    </row>
    <row r="8" spans="1:14" ht="24" customHeight="1">
      <c r="A8" s="73"/>
      <c r="B8" s="21"/>
      <c r="C8" s="36"/>
      <c r="D8" s="37"/>
      <c r="E8" s="38"/>
      <c r="F8" s="39"/>
      <c r="G8" s="40"/>
      <c r="H8" s="31"/>
      <c r="I8" s="41"/>
      <c r="J8" s="36" t="s">
        <v>8</v>
      </c>
      <c r="K8" s="37"/>
      <c r="L8" s="38" t="s">
        <v>10</v>
      </c>
      <c r="M8" s="42">
        <f>8500*1100/10^3</f>
        <v>9350</v>
      </c>
      <c r="N8" s="43"/>
    </row>
    <row r="9" spans="1:14" ht="24" customHeight="1">
      <c r="A9" s="71" t="s">
        <v>41</v>
      </c>
      <c r="B9" s="25"/>
      <c r="C9" s="26" t="s">
        <v>12</v>
      </c>
      <c r="D9" s="44"/>
      <c r="E9" s="28"/>
      <c r="F9" s="35"/>
      <c r="G9" s="30">
        <f>SUM(F9:F11)-5</f>
        <v>12970</v>
      </c>
      <c r="H9" s="31"/>
      <c r="I9" s="32"/>
      <c r="J9" s="26" t="s">
        <v>12</v>
      </c>
      <c r="K9" s="44"/>
      <c r="L9" s="28" t="s">
        <v>52</v>
      </c>
      <c r="M9" s="34">
        <f>52100000*0.4/10^3</f>
        <v>20840</v>
      </c>
      <c r="N9" s="33">
        <f>SUM(M9:M11)</f>
        <v>23640</v>
      </c>
    </row>
    <row r="10" spans="1:14" ht="24" customHeight="1">
      <c r="A10" s="72"/>
      <c r="B10" s="25"/>
      <c r="C10" s="26" t="s">
        <v>13</v>
      </c>
      <c r="D10" s="44"/>
      <c r="E10" s="28" t="s">
        <v>49</v>
      </c>
      <c r="F10" s="35">
        <f>8500*750/10^3</f>
        <v>6375</v>
      </c>
      <c r="G10" s="30"/>
      <c r="H10" s="31"/>
      <c r="I10" s="32"/>
      <c r="J10" s="26" t="s">
        <v>60</v>
      </c>
      <c r="K10" s="44"/>
      <c r="L10" s="28" t="s">
        <v>36</v>
      </c>
      <c r="M10" s="34">
        <f>9350*0.3-5</f>
        <v>2800</v>
      </c>
      <c r="N10" s="33"/>
    </row>
    <row r="11" spans="1:14" ht="24" customHeight="1">
      <c r="A11" s="73"/>
      <c r="B11" s="21"/>
      <c r="C11" s="36" t="s">
        <v>14</v>
      </c>
      <c r="D11" s="45"/>
      <c r="E11" s="38" t="s">
        <v>63</v>
      </c>
      <c r="F11" s="39">
        <f>3*2200000/10^3</f>
        <v>6600</v>
      </c>
      <c r="G11" s="40"/>
      <c r="H11" s="46"/>
      <c r="I11" s="41"/>
      <c r="J11" s="36"/>
      <c r="K11" s="45"/>
      <c r="L11" s="38"/>
      <c r="M11" s="42"/>
      <c r="N11" s="43"/>
    </row>
    <row r="12" spans="1:14" ht="24" customHeight="1">
      <c r="A12" s="71" t="s">
        <v>40</v>
      </c>
      <c r="B12" s="25"/>
      <c r="C12" s="26" t="s">
        <v>15</v>
      </c>
      <c r="D12" s="44"/>
      <c r="E12" s="28" t="s">
        <v>58</v>
      </c>
      <c r="F12" s="35">
        <f>5*4300000/10^3</f>
        <v>21500</v>
      </c>
      <c r="G12" s="30">
        <f>SUM(F12:F13)</f>
        <v>26300</v>
      </c>
      <c r="H12" s="31"/>
      <c r="I12" s="32"/>
      <c r="J12" s="26" t="s">
        <v>15</v>
      </c>
      <c r="K12" s="44"/>
      <c r="L12" s="28" t="s">
        <v>65</v>
      </c>
      <c r="M12" s="34">
        <f>6*4300000/10^3</f>
        <v>25800</v>
      </c>
      <c r="N12" s="33">
        <f>SUM(M12:M13)</f>
        <v>28000</v>
      </c>
    </row>
    <row r="13" spans="1:14" ht="24" customHeight="1">
      <c r="A13" s="73"/>
      <c r="B13" s="21"/>
      <c r="C13" s="36" t="s">
        <v>16</v>
      </c>
      <c r="D13" s="45"/>
      <c r="E13" s="38"/>
      <c r="F13" s="39">
        <v>4800</v>
      </c>
      <c r="G13" s="40"/>
      <c r="H13" s="31"/>
      <c r="I13" s="41"/>
      <c r="J13" s="36" t="s">
        <v>35</v>
      </c>
      <c r="K13" s="45"/>
      <c r="L13" s="38"/>
      <c r="M13" s="42">
        <v>2200</v>
      </c>
      <c r="N13" s="43"/>
    </row>
    <row r="14" spans="1:14" ht="24" customHeight="1">
      <c r="A14" s="71" t="s">
        <v>17</v>
      </c>
      <c r="B14" s="25"/>
      <c r="C14" s="26" t="s">
        <v>18</v>
      </c>
      <c r="D14" s="44"/>
      <c r="E14" s="28" t="s">
        <v>53</v>
      </c>
      <c r="F14" s="35">
        <f>9300*1100/10^3</f>
        <v>10230</v>
      </c>
      <c r="G14" s="30">
        <f>SUM(F14:F22)</f>
        <v>28250</v>
      </c>
      <c r="H14" s="31"/>
      <c r="I14" s="32"/>
      <c r="J14" s="26"/>
      <c r="K14" s="44"/>
      <c r="L14" s="28"/>
      <c r="M14" s="34"/>
      <c r="N14" s="33"/>
    </row>
    <row r="15" spans="1:14" ht="24" customHeight="1">
      <c r="A15" s="72"/>
      <c r="B15" s="25"/>
      <c r="C15" s="26" t="s">
        <v>19</v>
      </c>
      <c r="D15" s="44"/>
      <c r="E15" s="28" t="s">
        <v>29</v>
      </c>
      <c r="F15" s="35">
        <f>2*300000/10^3</f>
        <v>600</v>
      </c>
      <c r="G15" s="30"/>
      <c r="H15" s="31"/>
      <c r="I15" s="32"/>
      <c r="J15" s="26"/>
      <c r="K15" s="44"/>
      <c r="L15" s="28"/>
      <c r="M15" s="34"/>
      <c r="N15" s="33"/>
    </row>
    <row r="16" spans="1:14" ht="24" customHeight="1">
      <c r="A16" s="72"/>
      <c r="B16" s="25"/>
      <c r="C16" s="26" t="s">
        <v>20</v>
      </c>
      <c r="D16" s="44"/>
      <c r="E16" s="28"/>
      <c r="F16" s="35">
        <v>5000</v>
      </c>
      <c r="G16" s="30"/>
      <c r="H16" s="31"/>
      <c r="I16" s="32"/>
      <c r="J16" s="26"/>
      <c r="K16" s="44"/>
      <c r="L16" s="28"/>
      <c r="M16" s="34"/>
      <c r="N16" s="33"/>
    </row>
    <row r="17" spans="1:14" ht="24" customHeight="1">
      <c r="A17" s="72"/>
      <c r="B17" s="25"/>
      <c r="C17" s="26" t="s">
        <v>21</v>
      </c>
      <c r="D17" s="44"/>
      <c r="E17" s="28"/>
      <c r="F17" s="74">
        <v>2200</v>
      </c>
      <c r="G17" s="30"/>
      <c r="H17" s="31"/>
      <c r="I17" s="32"/>
      <c r="J17" s="26"/>
      <c r="K17" s="44"/>
      <c r="L17" s="28"/>
      <c r="M17" s="34"/>
      <c r="N17" s="33"/>
    </row>
    <row r="18" spans="1:14" ht="24" customHeight="1">
      <c r="A18" s="72"/>
      <c r="B18" s="25"/>
      <c r="C18" s="26" t="s">
        <v>22</v>
      </c>
      <c r="D18" s="44"/>
      <c r="E18" s="28"/>
      <c r="F18" s="74"/>
      <c r="G18" s="30"/>
      <c r="H18" s="31"/>
      <c r="I18" s="32"/>
      <c r="J18" s="26"/>
      <c r="K18" s="44"/>
      <c r="L18" s="28"/>
      <c r="M18" s="34"/>
      <c r="N18" s="33"/>
    </row>
    <row r="19" spans="1:14" ht="24" customHeight="1">
      <c r="A19" s="72"/>
      <c r="B19" s="25"/>
      <c r="C19" s="26" t="s">
        <v>23</v>
      </c>
      <c r="D19" s="44"/>
      <c r="E19" s="28"/>
      <c r="F19" s="35">
        <v>3000</v>
      </c>
      <c r="G19" s="30"/>
      <c r="H19" s="31"/>
      <c r="I19" s="32"/>
      <c r="J19" s="26"/>
      <c r="K19" s="44"/>
      <c r="L19" s="28"/>
      <c r="M19" s="34"/>
      <c r="N19" s="33"/>
    </row>
    <row r="20" spans="1:14" ht="24" customHeight="1">
      <c r="A20" s="72"/>
      <c r="B20" s="25"/>
      <c r="C20" s="26" t="s">
        <v>24</v>
      </c>
      <c r="D20" s="44"/>
      <c r="E20" s="28"/>
      <c r="F20" s="35">
        <v>2000</v>
      </c>
      <c r="G20" s="30"/>
      <c r="H20" s="31"/>
      <c r="I20" s="32"/>
      <c r="J20" s="26"/>
      <c r="K20" s="44"/>
      <c r="L20" s="28"/>
      <c r="M20" s="34"/>
      <c r="N20" s="33"/>
    </row>
    <row r="21" spans="1:14" ht="24" customHeight="1">
      <c r="A21" s="72"/>
      <c r="B21" s="25"/>
      <c r="C21" s="26" t="s">
        <v>25</v>
      </c>
      <c r="D21" s="44"/>
      <c r="E21" s="28" t="s">
        <v>30</v>
      </c>
      <c r="F21" s="35">
        <v>2000</v>
      </c>
      <c r="G21" s="30"/>
      <c r="H21" s="31"/>
      <c r="I21" s="32"/>
      <c r="J21" s="26"/>
      <c r="K21" s="44"/>
      <c r="L21" s="28"/>
      <c r="M21" s="34"/>
      <c r="N21" s="33"/>
    </row>
    <row r="22" spans="1:14" ht="24" customHeight="1">
      <c r="A22" s="72"/>
      <c r="B22" s="21"/>
      <c r="C22" s="36" t="s">
        <v>26</v>
      </c>
      <c r="D22" s="45"/>
      <c r="E22" s="38" t="s">
        <v>54</v>
      </c>
      <c r="F22" s="39">
        <f>71400*0.3*0.15+7</f>
        <v>3220</v>
      </c>
      <c r="G22" s="40"/>
      <c r="H22" s="31"/>
      <c r="I22" s="41"/>
      <c r="J22" s="36"/>
      <c r="K22" s="45"/>
      <c r="L22" s="38"/>
      <c r="M22" s="42"/>
      <c r="N22" s="43"/>
    </row>
    <row r="23" spans="1:14" ht="24" customHeight="1">
      <c r="A23" s="73"/>
      <c r="B23" s="21"/>
      <c r="C23" s="47" t="s">
        <v>55</v>
      </c>
      <c r="D23" s="48"/>
      <c r="E23" s="48"/>
      <c r="F23" s="49"/>
      <c r="G23" s="50">
        <f>ROUNDUP(G14*0.6,-1)</f>
        <v>16950</v>
      </c>
      <c r="H23" s="31"/>
      <c r="I23" s="41"/>
      <c r="J23" s="47" t="s">
        <v>56</v>
      </c>
      <c r="K23" s="18"/>
      <c r="L23" s="48"/>
      <c r="M23" s="51"/>
      <c r="N23" s="52">
        <f>INT(G14*0.4/10)*10</f>
        <v>11300</v>
      </c>
    </row>
    <row r="24" spans="1:14" ht="24" customHeight="1">
      <c r="A24" s="53" t="s">
        <v>33</v>
      </c>
      <c r="B24" s="21"/>
      <c r="C24" s="54"/>
      <c r="D24" s="18"/>
      <c r="E24" s="48"/>
      <c r="F24" s="55"/>
      <c r="G24" s="55">
        <f>G9+G12+G23</f>
        <v>56220</v>
      </c>
      <c r="H24" s="31"/>
      <c r="I24" s="41"/>
      <c r="J24" s="54"/>
      <c r="K24" s="18"/>
      <c r="L24" s="48"/>
      <c r="M24" s="51"/>
      <c r="N24" s="52">
        <f>N9+N12+N23</f>
        <v>62940</v>
      </c>
    </row>
    <row r="25" spans="1:14" ht="24" customHeight="1" thickBot="1">
      <c r="A25" s="56" t="s">
        <v>43</v>
      </c>
      <c r="B25" s="57"/>
      <c r="C25" s="58" t="s">
        <v>57</v>
      </c>
      <c r="D25" s="59"/>
      <c r="E25" s="60"/>
      <c r="F25" s="61"/>
      <c r="G25" s="61">
        <f>G5-G24</f>
        <v>16860</v>
      </c>
      <c r="H25" s="62"/>
      <c r="I25" s="63"/>
      <c r="J25" s="58" t="s">
        <v>59</v>
      </c>
      <c r="K25" s="59"/>
      <c r="L25" s="60"/>
      <c r="M25" s="64"/>
      <c r="N25" s="65">
        <f>N5-N24</f>
        <v>-1490</v>
      </c>
    </row>
    <row r="26" spans="1:14" ht="20.100000000000001" customHeight="1">
      <c r="A26" s="68" t="s">
        <v>67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1:14">
      <c r="A27" s="4"/>
      <c r="B27" s="4"/>
      <c r="C27" s="4"/>
      <c r="D27" s="4"/>
      <c r="E27" s="7"/>
      <c r="F27" s="6"/>
      <c r="G27" s="6"/>
      <c r="H27" s="6"/>
      <c r="I27" s="6"/>
      <c r="J27" s="4"/>
      <c r="K27" s="4"/>
      <c r="L27" s="7"/>
      <c r="M27" s="5"/>
      <c r="N27" s="6"/>
    </row>
    <row r="28" spans="1:14">
      <c r="A28" s="4"/>
      <c r="B28" s="4"/>
      <c r="C28" s="4"/>
      <c r="D28" s="4"/>
      <c r="E28" s="7"/>
      <c r="F28" s="6"/>
      <c r="G28" s="6"/>
      <c r="H28" s="6"/>
      <c r="I28" s="6"/>
      <c r="J28" s="4"/>
      <c r="K28" s="4"/>
      <c r="L28" s="7"/>
      <c r="M28" s="5"/>
      <c r="N28" s="6"/>
    </row>
    <row r="29" spans="1:14">
      <c r="E29" s="7"/>
      <c r="F29" s="6"/>
      <c r="G29" s="6"/>
      <c r="H29" s="6"/>
      <c r="I29" s="6"/>
      <c r="J29" s="4"/>
      <c r="K29" s="4"/>
      <c r="L29" s="7"/>
      <c r="M29" s="5"/>
      <c r="N29" s="6"/>
    </row>
    <row r="30" spans="1:14">
      <c r="E30" s="7"/>
      <c r="F30" s="6"/>
      <c r="G30" s="6"/>
      <c r="H30" s="6"/>
      <c r="I30" s="6"/>
      <c r="J30" s="4"/>
      <c r="K30" s="4"/>
      <c r="L30" s="7"/>
      <c r="M30" s="5"/>
      <c r="N30" s="6"/>
    </row>
    <row r="31" spans="1:14">
      <c r="E31" s="7"/>
      <c r="F31" s="6"/>
      <c r="G31" s="6"/>
      <c r="H31" s="6"/>
      <c r="I31" s="6"/>
      <c r="J31" s="4"/>
      <c r="K31" s="4"/>
      <c r="L31" s="7"/>
      <c r="M31" s="5"/>
      <c r="N31" s="6"/>
    </row>
    <row r="32" spans="1:14">
      <c r="E32" s="7"/>
      <c r="F32" s="6"/>
      <c r="G32" s="6"/>
      <c r="H32" s="6"/>
      <c r="I32" s="6"/>
      <c r="J32" s="4"/>
      <c r="K32" s="4"/>
      <c r="L32" s="7"/>
      <c r="M32" s="5"/>
      <c r="N32" s="6"/>
    </row>
    <row r="33" spans="5:14">
      <c r="E33" s="7"/>
      <c r="F33" s="6"/>
      <c r="G33" s="6"/>
      <c r="H33" s="6"/>
      <c r="I33" s="6"/>
      <c r="J33" s="4"/>
      <c r="K33" s="4"/>
      <c r="L33" s="7"/>
      <c r="M33" s="5"/>
      <c r="N33" s="6"/>
    </row>
    <row r="34" spans="5:14">
      <c r="E34" s="7"/>
      <c r="F34" s="6"/>
      <c r="G34" s="6"/>
      <c r="H34" s="6"/>
      <c r="I34" s="6"/>
      <c r="J34" s="4"/>
      <c r="K34" s="4"/>
      <c r="L34" s="7"/>
      <c r="M34" s="5"/>
      <c r="N34" s="6"/>
    </row>
    <row r="35" spans="5:14">
      <c r="E35" s="7"/>
      <c r="J35" s="4"/>
      <c r="K35" s="4"/>
      <c r="L35" s="7"/>
    </row>
    <row r="36" spans="5:14">
      <c r="J36" s="4"/>
      <c r="K36" s="4"/>
    </row>
  </sheetData>
  <mergeCells count="10">
    <mergeCell ref="L4:M4"/>
    <mergeCell ref="A26:N26"/>
    <mergeCell ref="C3:G3"/>
    <mergeCell ref="J3:N3"/>
    <mergeCell ref="A5:A8"/>
    <mergeCell ref="A12:A13"/>
    <mergeCell ref="A14:A23"/>
    <mergeCell ref="F17:F18"/>
    <mergeCell ref="A9:A11"/>
    <mergeCell ref="E4:F4"/>
  </mergeCells>
  <phoneticPr fontId="2"/>
  <printOptions horizontalCentered="1" verticalCentered="1"/>
  <pageMargins left="0.59055118110236227" right="0.24000000000000002" top="0.39000000000000007" bottom="0.39000000000000007" header="0.30000000000000004" footer="0.30000000000000004"/>
  <pageSetup paperSize="9" scale="85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0" workbookViewId="0">
      <selection activeCell="P8" sqref="P8"/>
    </sheetView>
  </sheetViews>
  <sheetFormatPr defaultColWidth="12.875" defaultRowHeight="14.25"/>
  <cols>
    <col min="1" max="1" width="12.875" style="1"/>
    <col min="2" max="2" width="1" style="1" customWidth="1"/>
    <col min="3" max="3" width="11.875" style="1" customWidth="1"/>
    <col min="4" max="4" width="1" style="1" customWidth="1"/>
    <col min="5" max="5" width="29.875" style="1" customWidth="1"/>
    <col min="6" max="7" width="10.875" style="1" customWidth="1"/>
    <col min="8" max="8" width="0.375" style="1" customWidth="1"/>
    <col min="9" max="9" width="1" style="1" customWidth="1"/>
    <col min="10" max="10" width="11.875" style="1" customWidth="1"/>
    <col min="11" max="11" width="1" style="1" customWidth="1"/>
    <col min="12" max="12" width="25.875" style="1" customWidth="1"/>
    <col min="13" max="13" width="10.875" style="3" customWidth="1"/>
    <col min="14" max="14" width="10.875" style="1" customWidth="1"/>
    <col min="15" max="16384" width="12.875" style="1"/>
  </cols>
  <sheetData>
    <row r="1" spans="1:14" ht="15" thickBot="1">
      <c r="N1" s="8" t="s">
        <v>44</v>
      </c>
    </row>
    <row r="2" spans="1:14" ht="39.950000000000003" customHeight="1">
      <c r="A2" s="11" t="s">
        <v>68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  <c r="N2" s="14"/>
    </row>
    <row r="3" spans="1:14" ht="24" customHeight="1">
      <c r="A3" s="15"/>
      <c r="B3" s="16"/>
      <c r="C3" s="69" t="s">
        <v>0</v>
      </c>
      <c r="D3" s="69"/>
      <c r="E3" s="69"/>
      <c r="F3" s="69"/>
      <c r="G3" s="69"/>
      <c r="H3" s="17"/>
      <c r="I3" s="18"/>
      <c r="J3" s="69" t="s">
        <v>5</v>
      </c>
      <c r="K3" s="69"/>
      <c r="L3" s="69"/>
      <c r="M3" s="69"/>
      <c r="N3" s="70"/>
    </row>
    <row r="4" spans="1:14" ht="24" customHeight="1">
      <c r="A4" s="19"/>
      <c r="B4" s="16"/>
      <c r="C4" s="18" t="s">
        <v>61</v>
      </c>
      <c r="D4" s="20"/>
      <c r="E4" s="66" t="s">
        <v>62</v>
      </c>
      <c r="F4" s="67"/>
      <c r="G4" s="21" t="s">
        <v>4</v>
      </c>
      <c r="H4" s="22"/>
      <c r="I4" s="23"/>
      <c r="J4" s="18" t="s">
        <v>61</v>
      </c>
      <c r="K4" s="20"/>
      <c r="L4" s="66" t="s">
        <v>62</v>
      </c>
      <c r="M4" s="67"/>
      <c r="N4" s="24" t="s">
        <v>4</v>
      </c>
    </row>
    <row r="5" spans="1:14" ht="24" customHeight="1">
      <c r="A5" s="71" t="s">
        <v>42</v>
      </c>
      <c r="B5" s="25"/>
      <c r="C5" s="26" t="s">
        <v>11</v>
      </c>
      <c r="D5" s="27"/>
      <c r="E5" s="28" t="s">
        <v>2</v>
      </c>
      <c r="F5" s="29">
        <f>10200*(8400+500)/10^3</f>
        <v>90780</v>
      </c>
      <c r="G5" s="30">
        <f>SUM(F5:F8)</f>
        <v>92460</v>
      </c>
      <c r="H5" s="31"/>
      <c r="I5" s="32"/>
      <c r="J5" s="26" t="s">
        <v>50</v>
      </c>
      <c r="K5" s="27"/>
      <c r="L5" s="28"/>
      <c r="M5" s="29"/>
      <c r="N5" s="33">
        <f>SUM(M5:M8)</f>
        <v>52850</v>
      </c>
    </row>
    <row r="6" spans="1:14" ht="24" customHeight="1">
      <c r="A6" s="72"/>
      <c r="B6" s="25"/>
      <c r="C6" s="26" t="s">
        <v>1</v>
      </c>
      <c r="D6" s="27"/>
      <c r="E6" s="28" t="s">
        <v>3</v>
      </c>
      <c r="F6" s="34">
        <f>20*120*700/10^3</f>
        <v>1680</v>
      </c>
      <c r="G6" s="30"/>
      <c r="H6" s="31"/>
      <c r="I6" s="32"/>
      <c r="J6" s="26" t="s">
        <v>6</v>
      </c>
      <c r="K6" s="27"/>
      <c r="L6" s="28" t="s">
        <v>70</v>
      </c>
      <c r="M6" s="34">
        <f>3500*1500/10^3</f>
        <v>5250</v>
      </c>
      <c r="N6" s="33"/>
    </row>
    <row r="7" spans="1:14" ht="24" customHeight="1">
      <c r="A7" s="72"/>
      <c r="B7" s="25"/>
      <c r="C7" s="26"/>
      <c r="D7" s="27"/>
      <c r="E7" s="28"/>
      <c r="F7" s="35"/>
      <c r="G7" s="30"/>
      <c r="H7" s="31"/>
      <c r="I7" s="32"/>
      <c r="J7" s="26" t="s">
        <v>7</v>
      </c>
      <c r="K7" s="27"/>
      <c r="L7" s="28" t="s">
        <v>9</v>
      </c>
      <c r="M7" s="34">
        <f>8500*4500/10^3</f>
        <v>38250</v>
      </c>
      <c r="N7" s="33"/>
    </row>
    <row r="8" spans="1:14" ht="24" customHeight="1">
      <c r="A8" s="73"/>
      <c r="B8" s="21"/>
      <c r="C8" s="36"/>
      <c r="D8" s="37"/>
      <c r="E8" s="38"/>
      <c r="F8" s="39"/>
      <c r="G8" s="40"/>
      <c r="H8" s="31"/>
      <c r="I8" s="41"/>
      <c r="J8" s="36" t="s">
        <v>8</v>
      </c>
      <c r="K8" s="37"/>
      <c r="L8" s="38" t="s">
        <v>10</v>
      </c>
      <c r="M8" s="42">
        <f>8500*1100/10^3</f>
        <v>9350</v>
      </c>
      <c r="N8" s="43"/>
    </row>
    <row r="9" spans="1:14" ht="24" customHeight="1">
      <c r="A9" s="71" t="s">
        <v>41</v>
      </c>
      <c r="B9" s="25"/>
      <c r="C9" s="26" t="s">
        <v>12</v>
      </c>
      <c r="D9" s="44"/>
      <c r="E9" s="28" t="s">
        <v>32</v>
      </c>
      <c r="F9" s="35">
        <f>5100*0.5</f>
        <v>2550</v>
      </c>
      <c r="G9" s="30">
        <f>SUM(F9:F11)</f>
        <v>16800</v>
      </c>
      <c r="H9" s="31"/>
      <c r="I9" s="32"/>
      <c r="J9" s="26" t="s">
        <v>12</v>
      </c>
      <c r="K9" s="44"/>
      <c r="L9" s="28" t="s">
        <v>38</v>
      </c>
      <c r="M9" s="34">
        <f>43500000*0.4/10^3</f>
        <v>17400</v>
      </c>
      <c r="N9" s="33">
        <f>SUM(M9:M11)</f>
        <v>20200</v>
      </c>
    </row>
    <row r="10" spans="1:14" ht="24" customHeight="1">
      <c r="A10" s="72"/>
      <c r="B10" s="25"/>
      <c r="C10" s="26" t="s">
        <v>13</v>
      </c>
      <c r="D10" s="44"/>
      <c r="E10" s="28" t="s">
        <v>27</v>
      </c>
      <c r="F10" s="35">
        <f>10200*750/10^3</f>
        <v>7650</v>
      </c>
      <c r="G10" s="30"/>
      <c r="H10" s="31"/>
      <c r="I10" s="32"/>
      <c r="J10" s="26" t="s">
        <v>60</v>
      </c>
      <c r="K10" s="44"/>
      <c r="L10" s="28" t="s">
        <v>36</v>
      </c>
      <c r="M10" s="34">
        <f>9350*0.3-5</f>
        <v>2800</v>
      </c>
      <c r="N10" s="33"/>
    </row>
    <row r="11" spans="1:14" ht="24" customHeight="1">
      <c r="A11" s="73"/>
      <c r="B11" s="21"/>
      <c r="C11" s="36" t="s">
        <v>14</v>
      </c>
      <c r="D11" s="45"/>
      <c r="E11" s="38" t="s">
        <v>63</v>
      </c>
      <c r="F11" s="39">
        <f>3*2200000/10^3</f>
        <v>6600</v>
      </c>
      <c r="G11" s="40"/>
      <c r="H11" s="46"/>
      <c r="I11" s="41"/>
      <c r="J11" s="36"/>
      <c r="K11" s="45"/>
      <c r="L11" s="38"/>
      <c r="M11" s="42"/>
      <c r="N11" s="43"/>
    </row>
    <row r="12" spans="1:14" ht="24" customHeight="1">
      <c r="A12" s="71" t="s">
        <v>40</v>
      </c>
      <c r="B12" s="25"/>
      <c r="C12" s="26" t="s">
        <v>15</v>
      </c>
      <c r="D12" s="44"/>
      <c r="E12" s="28" t="s">
        <v>64</v>
      </c>
      <c r="F12" s="35">
        <f>6*4300000/10^3</f>
        <v>25800</v>
      </c>
      <c r="G12" s="30">
        <f>SUM(F12:F13)</f>
        <v>30600</v>
      </c>
      <c r="H12" s="31"/>
      <c r="I12" s="32"/>
      <c r="J12" s="26" t="s">
        <v>15</v>
      </c>
      <c r="K12" s="44"/>
      <c r="L12" s="28" t="s">
        <v>37</v>
      </c>
      <c r="M12" s="34">
        <f>4*4300000/10^3</f>
        <v>17200</v>
      </c>
      <c r="N12" s="33">
        <f>SUM(M12:M13)</f>
        <v>19400</v>
      </c>
    </row>
    <row r="13" spans="1:14" ht="24" customHeight="1">
      <c r="A13" s="73"/>
      <c r="B13" s="21"/>
      <c r="C13" s="36" t="s">
        <v>16</v>
      </c>
      <c r="D13" s="45"/>
      <c r="E13" s="38"/>
      <c r="F13" s="39">
        <v>4800</v>
      </c>
      <c r="G13" s="40"/>
      <c r="H13" s="31"/>
      <c r="I13" s="41"/>
      <c r="J13" s="36" t="s">
        <v>35</v>
      </c>
      <c r="K13" s="45"/>
      <c r="L13" s="38"/>
      <c r="M13" s="42">
        <v>2200</v>
      </c>
      <c r="N13" s="43"/>
    </row>
    <row r="14" spans="1:14" ht="24" customHeight="1">
      <c r="A14" s="71" t="s">
        <v>17</v>
      </c>
      <c r="B14" s="25"/>
      <c r="C14" s="26" t="s">
        <v>18</v>
      </c>
      <c r="D14" s="44"/>
      <c r="E14" s="28" t="s">
        <v>28</v>
      </c>
      <c r="F14" s="35">
        <f>12000*1100/10^3</f>
        <v>13200</v>
      </c>
      <c r="G14" s="30">
        <f>SUM(F14:F22)</f>
        <v>32080</v>
      </c>
      <c r="H14" s="31"/>
      <c r="I14" s="32"/>
      <c r="J14" s="26"/>
      <c r="K14" s="44"/>
      <c r="L14" s="28"/>
      <c r="M14" s="34"/>
      <c r="N14" s="33"/>
    </row>
    <row r="15" spans="1:14" ht="24" customHeight="1">
      <c r="A15" s="72"/>
      <c r="B15" s="25"/>
      <c r="C15" s="26" t="s">
        <v>19</v>
      </c>
      <c r="D15" s="44"/>
      <c r="E15" s="28" t="s">
        <v>29</v>
      </c>
      <c r="F15" s="35">
        <f>2*300000/10^3</f>
        <v>600</v>
      </c>
      <c r="G15" s="30"/>
      <c r="H15" s="31"/>
      <c r="I15" s="32"/>
      <c r="J15" s="26"/>
      <c r="K15" s="44"/>
      <c r="L15" s="28"/>
      <c r="M15" s="34"/>
      <c r="N15" s="33"/>
    </row>
    <row r="16" spans="1:14" ht="24" customHeight="1">
      <c r="A16" s="72"/>
      <c r="B16" s="25"/>
      <c r="C16" s="26" t="s">
        <v>20</v>
      </c>
      <c r="D16" s="44"/>
      <c r="E16" s="28"/>
      <c r="F16" s="35">
        <v>5000</v>
      </c>
      <c r="G16" s="30"/>
      <c r="H16" s="31"/>
      <c r="I16" s="32"/>
      <c r="J16" s="26"/>
      <c r="K16" s="44"/>
      <c r="L16" s="28"/>
      <c r="M16" s="34"/>
      <c r="N16" s="33"/>
    </row>
    <row r="17" spans="1:14" ht="24" customHeight="1">
      <c r="A17" s="72"/>
      <c r="B17" s="25"/>
      <c r="C17" s="26" t="s">
        <v>21</v>
      </c>
      <c r="D17" s="44"/>
      <c r="E17" s="28"/>
      <c r="F17" s="74">
        <v>2200</v>
      </c>
      <c r="G17" s="30"/>
      <c r="H17" s="31"/>
      <c r="I17" s="32"/>
      <c r="J17" s="26"/>
      <c r="K17" s="44"/>
      <c r="L17" s="28"/>
      <c r="M17" s="34"/>
      <c r="N17" s="33"/>
    </row>
    <row r="18" spans="1:14" ht="24" customHeight="1">
      <c r="A18" s="72"/>
      <c r="B18" s="25"/>
      <c r="C18" s="26" t="s">
        <v>22</v>
      </c>
      <c r="D18" s="44"/>
      <c r="E18" s="28"/>
      <c r="F18" s="74"/>
      <c r="G18" s="30"/>
      <c r="H18" s="31"/>
      <c r="I18" s="32"/>
      <c r="J18" s="26"/>
      <c r="K18" s="44"/>
      <c r="L18" s="28"/>
      <c r="M18" s="34"/>
      <c r="N18" s="33"/>
    </row>
    <row r="19" spans="1:14" ht="24" customHeight="1">
      <c r="A19" s="72"/>
      <c r="B19" s="25"/>
      <c r="C19" s="26" t="s">
        <v>23</v>
      </c>
      <c r="D19" s="44"/>
      <c r="E19" s="28"/>
      <c r="F19" s="35">
        <v>3000</v>
      </c>
      <c r="G19" s="30"/>
      <c r="H19" s="31"/>
      <c r="I19" s="32"/>
      <c r="J19" s="26"/>
      <c r="K19" s="44"/>
      <c r="L19" s="28"/>
      <c r="M19" s="34"/>
      <c r="N19" s="33"/>
    </row>
    <row r="20" spans="1:14" ht="24" customHeight="1">
      <c r="A20" s="72"/>
      <c r="B20" s="25"/>
      <c r="C20" s="26" t="s">
        <v>24</v>
      </c>
      <c r="D20" s="44"/>
      <c r="E20" s="28"/>
      <c r="F20" s="35">
        <v>2000</v>
      </c>
      <c r="G20" s="30"/>
      <c r="H20" s="31"/>
      <c r="I20" s="32"/>
      <c r="J20" s="26"/>
      <c r="K20" s="44"/>
      <c r="L20" s="28"/>
      <c r="M20" s="34"/>
      <c r="N20" s="33"/>
    </row>
    <row r="21" spans="1:14" ht="24" customHeight="1">
      <c r="A21" s="72"/>
      <c r="B21" s="25"/>
      <c r="C21" s="26" t="s">
        <v>25</v>
      </c>
      <c r="D21" s="44"/>
      <c r="E21" s="28" t="s">
        <v>30</v>
      </c>
      <c r="F21" s="35">
        <v>2000</v>
      </c>
      <c r="G21" s="30"/>
      <c r="H21" s="31"/>
      <c r="I21" s="32"/>
      <c r="J21" s="26"/>
      <c r="K21" s="44"/>
      <c r="L21" s="28"/>
      <c r="M21" s="34"/>
      <c r="N21" s="33"/>
    </row>
    <row r="22" spans="1:14" ht="24" customHeight="1">
      <c r="A22" s="72"/>
      <c r="B22" s="21"/>
      <c r="C22" s="36" t="s">
        <v>26</v>
      </c>
      <c r="D22" s="45"/>
      <c r="E22" s="38" t="s">
        <v>31</v>
      </c>
      <c r="F22" s="39">
        <v>4080</v>
      </c>
      <c r="G22" s="40"/>
      <c r="H22" s="31"/>
      <c r="I22" s="41"/>
      <c r="J22" s="36"/>
      <c r="K22" s="45"/>
      <c r="L22" s="38"/>
      <c r="M22" s="42"/>
      <c r="N22" s="43"/>
    </row>
    <row r="23" spans="1:14" ht="24" customHeight="1">
      <c r="A23" s="73"/>
      <c r="B23" s="21"/>
      <c r="C23" s="47" t="s">
        <v>45</v>
      </c>
      <c r="D23" s="48"/>
      <c r="E23" s="48"/>
      <c r="F23" s="49"/>
      <c r="G23" s="50">
        <f>ROUNDUP(G14*0.7,-1)</f>
        <v>22460</v>
      </c>
      <c r="H23" s="31"/>
      <c r="I23" s="41"/>
      <c r="J23" s="47" t="s">
        <v>46</v>
      </c>
      <c r="K23" s="18"/>
      <c r="L23" s="48"/>
      <c r="M23" s="51"/>
      <c r="N23" s="52">
        <f>INT(G14*0.3/10)*10</f>
        <v>9620</v>
      </c>
    </row>
    <row r="24" spans="1:14" ht="24" customHeight="1">
      <c r="A24" s="53" t="s">
        <v>33</v>
      </c>
      <c r="B24" s="21"/>
      <c r="C24" s="54"/>
      <c r="D24" s="18"/>
      <c r="E24" s="48"/>
      <c r="F24" s="55"/>
      <c r="G24" s="55">
        <f>G9+G12+G23</f>
        <v>69860</v>
      </c>
      <c r="H24" s="31"/>
      <c r="I24" s="41"/>
      <c r="J24" s="54"/>
      <c r="K24" s="18"/>
      <c r="L24" s="48"/>
      <c r="M24" s="51"/>
      <c r="N24" s="52">
        <f>N9+N12+N23</f>
        <v>49220</v>
      </c>
    </row>
    <row r="25" spans="1:14" ht="24" customHeight="1" thickBot="1">
      <c r="A25" s="56" t="s">
        <v>43</v>
      </c>
      <c r="B25" s="57"/>
      <c r="C25" s="58" t="s">
        <v>34</v>
      </c>
      <c r="D25" s="59"/>
      <c r="E25" s="60"/>
      <c r="F25" s="61"/>
      <c r="G25" s="61">
        <f>G5-G24</f>
        <v>22600</v>
      </c>
      <c r="H25" s="62"/>
      <c r="I25" s="63"/>
      <c r="J25" s="58" t="s">
        <v>39</v>
      </c>
      <c r="K25" s="59"/>
      <c r="L25" s="60"/>
      <c r="M25" s="64"/>
      <c r="N25" s="65">
        <f>N5-N24</f>
        <v>3630</v>
      </c>
    </row>
    <row r="26" spans="1:14" ht="20.100000000000001" customHeight="1">
      <c r="A26" s="68" t="s">
        <v>66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1:14">
      <c r="A27" s="2"/>
      <c r="B27" s="4"/>
      <c r="C27" s="2"/>
      <c r="D27" s="4"/>
      <c r="E27" s="7"/>
      <c r="F27" s="6"/>
      <c r="G27" s="6"/>
      <c r="H27" s="6"/>
      <c r="I27" s="6"/>
      <c r="J27" s="2"/>
      <c r="K27" s="4"/>
      <c r="L27" s="7"/>
      <c r="M27" s="5"/>
      <c r="N27" s="6"/>
    </row>
    <row r="28" spans="1:14">
      <c r="A28" s="2"/>
      <c r="B28" s="4"/>
      <c r="C28" s="2"/>
      <c r="D28" s="4"/>
      <c r="E28" s="7"/>
      <c r="F28" s="10"/>
      <c r="G28" s="9"/>
      <c r="H28" s="6"/>
      <c r="I28" s="6"/>
      <c r="J28" s="2"/>
      <c r="K28" s="4"/>
      <c r="L28" s="7"/>
      <c r="M28" s="5"/>
      <c r="N28" s="6"/>
    </row>
    <row r="29" spans="1:14">
      <c r="E29" s="7"/>
      <c r="F29" s="6"/>
      <c r="G29" s="6"/>
      <c r="H29" s="6"/>
      <c r="I29" s="6"/>
      <c r="J29" s="2"/>
      <c r="K29" s="4"/>
      <c r="L29" s="7"/>
      <c r="M29" s="5"/>
      <c r="N29" s="6"/>
    </row>
    <row r="30" spans="1:14">
      <c r="E30" s="7"/>
      <c r="F30" s="6"/>
      <c r="G30" s="6"/>
      <c r="H30" s="6"/>
      <c r="I30" s="6"/>
      <c r="J30" s="2"/>
      <c r="K30" s="4"/>
      <c r="L30" s="7"/>
      <c r="M30" s="5"/>
      <c r="N30" s="6"/>
    </row>
    <row r="31" spans="1:14">
      <c r="E31" s="7"/>
      <c r="F31" s="6"/>
      <c r="G31" s="6"/>
      <c r="H31" s="6"/>
      <c r="I31" s="6"/>
      <c r="J31" s="2"/>
      <c r="K31" s="4"/>
      <c r="L31" s="7"/>
      <c r="M31" s="5"/>
      <c r="N31" s="6"/>
    </row>
    <row r="32" spans="1:14">
      <c r="E32" s="7"/>
      <c r="F32" s="6"/>
      <c r="G32" s="6"/>
      <c r="H32" s="6"/>
      <c r="I32" s="6"/>
      <c r="J32" s="2"/>
      <c r="K32" s="4"/>
      <c r="L32" s="7"/>
      <c r="M32" s="5"/>
      <c r="N32" s="6"/>
    </row>
    <row r="33" spans="5:14">
      <c r="E33" s="7"/>
      <c r="F33" s="6"/>
      <c r="G33" s="6"/>
      <c r="H33" s="6"/>
      <c r="I33" s="6"/>
      <c r="J33" s="2"/>
      <c r="K33" s="4"/>
      <c r="L33" s="7"/>
      <c r="M33" s="5"/>
      <c r="N33" s="6"/>
    </row>
    <row r="34" spans="5:14">
      <c r="E34" s="7"/>
      <c r="F34" s="6"/>
      <c r="G34" s="6"/>
      <c r="H34" s="6"/>
      <c r="I34" s="6"/>
      <c r="J34" s="2"/>
      <c r="K34" s="4"/>
      <c r="L34" s="7"/>
      <c r="M34" s="5"/>
      <c r="N34" s="6"/>
    </row>
    <row r="35" spans="5:14">
      <c r="E35" s="7"/>
      <c r="J35" s="2"/>
      <c r="K35" s="4"/>
      <c r="L35" s="7"/>
    </row>
    <row r="36" spans="5:14">
      <c r="J36" s="2"/>
      <c r="K36" s="4"/>
    </row>
  </sheetData>
  <mergeCells count="10">
    <mergeCell ref="C3:G3"/>
    <mergeCell ref="J3:N3"/>
    <mergeCell ref="F17:F18"/>
    <mergeCell ref="L4:M4"/>
    <mergeCell ref="A26:N26"/>
    <mergeCell ref="A5:A8"/>
    <mergeCell ref="A12:A13"/>
    <mergeCell ref="A14:A23"/>
    <mergeCell ref="A9:A11"/>
    <mergeCell ref="E4:F4"/>
  </mergeCells>
  <phoneticPr fontId="2"/>
  <printOptions horizontalCentered="1" verticalCentered="1"/>
  <pageMargins left="0.59055118110236227" right="0.24000000000000002" top="0.39000000000000007" bottom="0.39000000000000007" header="0.30000000000000004" footer="0.30000000000000004"/>
  <pageSetup paperSize="9" scale="85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一泊</vt:lpstr>
      <vt:lpstr>連泊</vt:lpstr>
      <vt:lpstr>一泊!Print_Area</vt:lpstr>
      <vt:lpstr>連泊!Print_Area</vt:lpstr>
    </vt:vector>
  </TitlesOfParts>
  <Company>SUPPORT Architect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Hisatoshi Someda</dc:creator>
  <cp:lastModifiedBy>Administrator</cp:lastModifiedBy>
  <cp:lastPrinted>2013-08-08T04:17:37Z</cp:lastPrinted>
  <dcterms:created xsi:type="dcterms:W3CDTF">2013-08-08T00:26:46Z</dcterms:created>
  <dcterms:modified xsi:type="dcterms:W3CDTF">2013-10-15T04:20:29Z</dcterms:modified>
</cp:coreProperties>
</file>